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arolien/Desktop/Voortgangsrapportage RIF ISOP/Bijlagen voortgangsrapportage/"/>
    </mc:Choice>
  </mc:AlternateContent>
  <xr:revisionPtr revIDLastSave="0" documentId="8_{A59C8008-EAB7-E340-8846-031218FA7B01}" xr6:coauthVersionLast="47" xr6:coauthVersionMax="47" xr10:uidLastSave="{00000000-0000-0000-0000-000000000000}"/>
  <bookViews>
    <workbookView xWindow="0" yWindow="780" windowWidth="23260" windowHeight="12580" xr2:uid="{D4E0A105-1941-41AD-9696-CA1354CB86D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H12" i="1"/>
  <c r="H19" i="1"/>
  <c r="I19" i="1" s="1"/>
  <c r="H20" i="1"/>
  <c r="I27" i="1"/>
  <c r="K27" i="1" s="1"/>
  <c r="C27" i="1"/>
  <c r="E27" i="1" s="1"/>
  <c r="I26" i="1"/>
  <c r="L26" i="1" s="1"/>
  <c r="C26" i="1"/>
  <c r="D26" i="1" s="1"/>
  <c r="I25" i="1"/>
  <c r="K25" i="1" s="1"/>
  <c r="B25" i="1"/>
  <c r="C25" i="1" s="1"/>
  <c r="D25" i="1" s="1"/>
  <c r="I24" i="1"/>
  <c r="J24" i="1" s="1"/>
  <c r="C24" i="1"/>
  <c r="I23" i="1"/>
  <c r="L23" i="1" s="1"/>
  <c r="C23" i="1"/>
  <c r="E23" i="1" s="1"/>
  <c r="I22" i="1"/>
  <c r="L22" i="1" s="1"/>
  <c r="C22" i="1"/>
  <c r="I21" i="1"/>
  <c r="C21" i="1"/>
  <c r="E21" i="1" s="1"/>
  <c r="C20" i="1"/>
  <c r="D20" i="1" s="1"/>
  <c r="C19" i="1"/>
  <c r="D19" i="1" s="1"/>
  <c r="I18" i="1"/>
  <c r="L18" i="1" s="1"/>
  <c r="C18" i="1"/>
  <c r="D18" i="1" s="1"/>
  <c r="I17" i="1"/>
  <c r="J17" i="1" s="1"/>
  <c r="C17" i="1"/>
  <c r="D17" i="1" s="1"/>
  <c r="I16" i="1"/>
  <c r="L16" i="1" s="1"/>
  <c r="B16" i="1"/>
  <c r="C16" i="1" s="1"/>
  <c r="E16" i="1" s="1"/>
  <c r="I15" i="1"/>
  <c r="K15" i="1" s="1"/>
  <c r="C15" i="1"/>
  <c r="D15" i="1" s="1"/>
  <c r="I14" i="1"/>
  <c r="L14" i="1" s="1"/>
  <c r="C14" i="1"/>
  <c r="I13" i="1"/>
  <c r="K13" i="1" s="1"/>
  <c r="B13" i="1"/>
  <c r="D13" i="1" s="1"/>
  <c r="B12" i="1"/>
  <c r="C12" i="1" s="1"/>
  <c r="D12" i="1" s="1"/>
  <c r="I10" i="1"/>
  <c r="L10" i="1" s="1"/>
  <c r="C10" i="1"/>
  <c r="D10" i="1" s="1"/>
  <c r="I9" i="1"/>
  <c r="K9" i="1" s="1"/>
  <c r="C9" i="1"/>
  <c r="D9" i="1" s="1"/>
  <c r="I8" i="1"/>
  <c r="K8" i="1" s="1"/>
  <c r="C8" i="1"/>
  <c r="I7" i="1"/>
  <c r="C7" i="1"/>
  <c r="D7" i="1" s="1"/>
  <c r="I6" i="1"/>
  <c r="K6" i="1" s="1"/>
  <c r="C6" i="1"/>
  <c r="D6" i="1" s="1"/>
  <c r="J5" i="1"/>
  <c r="C5" i="1"/>
  <c r="D5" i="1" s="1"/>
  <c r="B28" i="1" l="1"/>
  <c r="O14" i="1"/>
  <c r="P14" i="1" s="1"/>
  <c r="Q14" i="1" s="1"/>
  <c r="S14" i="1" s="1"/>
  <c r="O22" i="1"/>
  <c r="P22" i="1" s="1"/>
  <c r="Q22" i="1" s="1"/>
  <c r="S22" i="1" s="1"/>
  <c r="O24" i="1"/>
  <c r="P24" i="1" s="1"/>
  <c r="Q24" i="1" s="1"/>
  <c r="O8" i="1"/>
  <c r="P8" i="1" s="1"/>
  <c r="Q8" i="1" s="1"/>
  <c r="D21" i="1"/>
  <c r="F18" i="1"/>
  <c r="E18" i="1"/>
  <c r="F27" i="1"/>
  <c r="F24" i="1"/>
  <c r="E24" i="1"/>
  <c r="I12" i="1"/>
  <c r="J12" i="1" s="1"/>
  <c r="F21" i="1"/>
  <c r="E14" i="1"/>
  <c r="O23" i="1"/>
  <c r="P23" i="1" s="1"/>
  <c r="Q23" i="1" s="1"/>
  <c r="F8" i="1"/>
  <c r="D8" i="1"/>
  <c r="D23" i="1"/>
  <c r="F15" i="1"/>
  <c r="E7" i="1"/>
  <c r="I20" i="1"/>
  <c r="K20" i="1" s="1"/>
  <c r="D24" i="1"/>
  <c r="E8" i="1"/>
  <c r="F23" i="1"/>
  <c r="D16" i="1"/>
  <c r="F7" i="1"/>
  <c r="D22" i="1"/>
  <c r="E15" i="1"/>
  <c r="F14" i="1"/>
  <c r="F12" i="1"/>
  <c r="D27" i="1"/>
  <c r="F17" i="1"/>
  <c r="D14" i="1"/>
  <c r="F10" i="1"/>
  <c r="F20" i="1"/>
  <c r="E17" i="1"/>
  <c r="E10" i="1"/>
  <c r="F26" i="1"/>
  <c r="E20" i="1"/>
  <c r="F13" i="1"/>
  <c r="F6" i="1"/>
  <c r="E26" i="1"/>
  <c r="E13" i="1"/>
  <c r="E6" i="1"/>
  <c r="F22" i="1"/>
  <c r="F16" i="1"/>
  <c r="F9" i="1"/>
  <c r="L8" i="1"/>
  <c r="E22" i="1"/>
  <c r="E9" i="1"/>
  <c r="E12" i="1"/>
  <c r="F25" i="1"/>
  <c r="F19" i="1"/>
  <c r="F5" i="1"/>
  <c r="E25" i="1"/>
  <c r="E19" i="1"/>
  <c r="E5" i="1"/>
  <c r="O10" i="1"/>
  <c r="P10" i="1" s="1"/>
  <c r="Q10" i="1" s="1"/>
  <c r="L9" i="1"/>
  <c r="O9" i="1"/>
  <c r="P9" i="1" s="1"/>
  <c r="Q9" i="1" s="1"/>
  <c r="J14" i="1"/>
  <c r="K14" i="1"/>
  <c r="K24" i="1"/>
  <c r="L24" i="1"/>
  <c r="J10" i="1"/>
  <c r="K10" i="1"/>
  <c r="L15" i="1"/>
  <c r="L25" i="1"/>
  <c r="J22" i="1"/>
  <c r="J8" i="1"/>
  <c r="K22" i="1"/>
  <c r="L13" i="1"/>
  <c r="K19" i="1"/>
  <c r="J19" i="1"/>
  <c r="O19" i="1"/>
  <c r="P19" i="1" s="1"/>
  <c r="Q19" i="1" s="1"/>
  <c r="L19" i="1"/>
  <c r="O16" i="1"/>
  <c r="P16" i="1" s="1"/>
  <c r="Q16" i="1" s="1"/>
  <c r="O26" i="1"/>
  <c r="P26" i="1" s="1"/>
  <c r="Q26" i="1" s="1"/>
  <c r="K21" i="1"/>
  <c r="L21" i="1"/>
  <c r="O21" i="1"/>
  <c r="P21" i="1" s="1"/>
  <c r="Q21" i="1" s="1"/>
  <c r="O7" i="1"/>
  <c r="P7" i="1" s="1"/>
  <c r="Q7" i="1" s="1"/>
  <c r="L7" i="1"/>
  <c r="K7" i="1"/>
  <c r="J7" i="1"/>
  <c r="J21" i="1"/>
  <c r="O25" i="1"/>
  <c r="P25" i="1" s="1"/>
  <c r="Q25" i="1" s="1"/>
  <c r="O13" i="1"/>
  <c r="O15" i="1"/>
  <c r="P15" i="1" s="1"/>
  <c r="Q15" i="1" s="1"/>
  <c r="J6" i="1"/>
  <c r="L6" i="1"/>
  <c r="K17" i="1"/>
  <c r="J26" i="1"/>
  <c r="L27" i="1"/>
  <c r="K5" i="1"/>
  <c r="J16" i="1"/>
  <c r="L17" i="1"/>
  <c r="O18" i="1"/>
  <c r="P18" i="1" s="1"/>
  <c r="Q18" i="1" s="1"/>
  <c r="K26" i="1"/>
  <c r="L5" i="1"/>
  <c r="O6" i="1"/>
  <c r="J15" i="1"/>
  <c r="K16" i="1"/>
  <c r="J25" i="1"/>
  <c r="O27" i="1"/>
  <c r="P27" i="1" s="1"/>
  <c r="Q27" i="1" s="1"/>
  <c r="O17" i="1"/>
  <c r="P17" i="1" s="1"/>
  <c r="Q17" i="1" s="1"/>
  <c r="J18" i="1"/>
  <c r="K18" i="1"/>
  <c r="J23" i="1"/>
  <c r="J9" i="1"/>
  <c r="J13" i="1"/>
  <c r="K23" i="1"/>
  <c r="J27" i="1"/>
  <c r="R22" i="1" l="1"/>
  <c r="R14" i="1"/>
  <c r="T22" i="1"/>
  <c r="T14" i="1"/>
  <c r="S24" i="1"/>
  <c r="R24" i="1"/>
  <c r="T24" i="1"/>
  <c r="T25" i="1"/>
  <c r="R25" i="1"/>
  <c r="S25" i="1"/>
  <c r="S18" i="1"/>
  <c r="T18" i="1"/>
  <c r="R18" i="1"/>
  <c r="T9" i="1"/>
  <c r="R9" i="1"/>
  <c r="S9" i="1"/>
  <c r="T7" i="1"/>
  <c r="R7" i="1"/>
  <c r="S7" i="1"/>
  <c r="T10" i="1"/>
  <c r="R10" i="1"/>
  <c r="S10" i="1"/>
  <c r="T8" i="1"/>
  <c r="R8" i="1"/>
  <c r="S8" i="1"/>
  <c r="T26" i="1"/>
  <c r="R26" i="1"/>
  <c r="S26" i="1"/>
  <c r="S16" i="1"/>
  <c r="T16" i="1"/>
  <c r="R16" i="1"/>
  <c r="R19" i="1"/>
  <c r="S19" i="1"/>
  <c r="T19" i="1"/>
  <c r="L20" i="1"/>
  <c r="O20" i="1"/>
  <c r="P20" i="1" s="1"/>
  <c r="Q20" i="1" s="1"/>
  <c r="J20" i="1"/>
  <c r="G25" i="1"/>
  <c r="T23" i="1"/>
  <c r="R23" i="1"/>
  <c r="S23" i="1"/>
  <c r="S17" i="1"/>
  <c r="T17" i="1"/>
  <c r="R17" i="1"/>
  <c r="S15" i="1"/>
  <c r="T15" i="1"/>
  <c r="R15" i="1"/>
  <c r="S27" i="1"/>
  <c r="T27" i="1"/>
  <c r="R27" i="1"/>
  <c r="T21" i="1"/>
  <c r="R21" i="1"/>
  <c r="S21" i="1"/>
  <c r="G20" i="1"/>
  <c r="G15" i="1"/>
  <c r="G7" i="1"/>
  <c r="G21" i="1"/>
  <c r="M10" i="1"/>
  <c r="M22" i="1"/>
  <c r="K12" i="1"/>
  <c r="G24" i="1"/>
  <c r="M24" i="1"/>
  <c r="M7" i="1"/>
  <c r="M8" i="1"/>
  <c r="G18" i="1"/>
  <c r="G27" i="1"/>
  <c r="G9" i="1"/>
  <c r="G17" i="1"/>
  <c r="G10" i="1"/>
  <c r="G22" i="1"/>
  <c r="L12" i="1"/>
  <c r="M15" i="1"/>
  <c r="G6" i="1"/>
  <c r="G12" i="1"/>
  <c r="G13" i="1"/>
  <c r="O12" i="1"/>
  <c r="P12" i="1" s="1"/>
  <c r="Q12" i="1" s="1"/>
  <c r="G19" i="1"/>
  <c r="G26" i="1"/>
  <c r="G16" i="1"/>
  <c r="P6" i="1"/>
  <c r="Q6" i="1" s="1"/>
  <c r="M16" i="1"/>
  <c r="G23" i="1"/>
  <c r="G8" i="1"/>
  <c r="G14" i="1"/>
  <c r="P13" i="1"/>
  <c r="Q13" i="1" s="1"/>
  <c r="G5" i="1"/>
  <c r="M14" i="1"/>
  <c r="M13" i="1"/>
  <c r="M9" i="1"/>
  <c r="M23" i="1"/>
  <c r="M21" i="1"/>
  <c r="M17" i="1"/>
  <c r="M25" i="1"/>
  <c r="P5" i="1"/>
  <c r="Q5" i="1" s="1"/>
  <c r="M6" i="1"/>
  <c r="M26" i="1"/>
  <c r="M18" i="1"/>
  <c r="M19" i="1"/>
  <c r="M27" i="1"/>
  <c r="M5" i="1"/>
  <c r="Q28" i="1" l="1"/>
  <c r="M20" i="1"/>
  <c r="T20" i="1"/>
  <c r="R20" i="1"/>
  <c r="S20" i="1"/>
  <c r="T12" i="1"/>
  <c r="R12" i="1"/>
  <c r="S12" i="1"/>
  <c r="S13" i="1"/>
  <c r="T13" i="1"/>
  <c r="R13" i="1"/>
  <c r="T5" i="1"/>
  <c r="S5" i="1"/>
  <c r="R5" i="1"/>
  <c r="T6" i="1"/>
  <c r="R6" i="1"/>
  <c r="S6" i="1"/>
  <c r="M12" i="1"/>
  <c r="R28" i="1" l="1"/>
  <c r="T28" i="1"/>
  <c r="S28" i="1"/>
</calcChain>
</file>

<file path=xl/sharedStrings.xml><?xml version="1.0" encoding="utf-8"?>
<sst xmlns="http://schemas.openxmlformats.org/spreadsheetml/2006/main" count="47" uniqueCount="47">
  <si>
    <t>3e en 4e kw 2023</t>
  </si>
  <si>
    <t>Urenxverg.2023</t>
  </si>
  <si>
    <t>Cof. 2023</t>
  </si>
  <si>
    <t>Fin. 2023</t>
  </si>
  <si>
    <t>Overhead 2023</t>
  </si>
  <si>
    <t>1e kw 2024</t>
  </si>
  <si>
    <t>Urenxverg.2024</t>
  </si>
  <si>
    <t>Cof. 2024</t>
  </si>
  <si>
    <t>Fin. 2024</t>
  </si>
  <si>
    <t>Overhead 2024</t>
  </si>
  <si>
    <t>Uren Begroot</t>
  </si>
  <si>
    <t>Stichting Humankind</t>
  </si>
  <si>
    <t>Kindercentra Puck&amp;Co</t>
  </si>
  <si>
    <t>Kinderopvang Avonturijn</t>
  </si>
  <si>
    <t>Ester Gelsing Kinderopvang</t>
  </si>
  <si>
    <t>SpelenderWijs</t>
  </si>
  <si>
    <t>Stichting Welzijn Winterswijk Kinderopvang</t>
  </si>
  <si>
    <t>Accent Scholengroep</t>
  </si>
  <si>
    <t>'t Bastion</t>
  </si>
  <si>
    <t>De Korenburg</t>
  </si>
  <si>
    <t>Delta Scholengroep</t>
  </si>
  <si>
    <t>Stichting Essentius</t>
  </si>
  <si>
    <t>Gelderveste</t>
  </si>
  <si>
    <t>Stichting IJsselgraaf</t>
  </si>
  <si>
    <t>LiemersNovum</t>
  </si>
  <si>
    <t>De Onderwijsspecialisten</t>
  </si>
  <si>
    <t>OPONOA</t>
  </si>
  <si>
    <t>Paraat</t>
  </si>
  <si>
    <t>De Plakkenberg</t>
  </si>
  <si>
    <t>Pro8</t>
  </si>
  <si>
    <t>SKBG</t>
  </si>
  <si>
    <t>SOPOW</t>
  </si>
  <si>
    <t>SOTOG</t>
  </si>
  <si>
    <t>Uren nog in te zetten             Jan 2025 tot aug 2027</t>
  </si>
  <si>
    <t>Totaal uren 2023</t>
  </si>
  <si>
    <t>Totaal uren 2024</t>
  </si>
  <si>
    <t xml:space="preserve">Gerealiseerd aantal uren </t>
  </si>
  <si>
    <t>Uren Jan -Juli 2025</t>
  </si>
  <si>
    <t>Uren Aug-Juli 2025-2026</t>
  </si>
  <si>
    <t>Uren Aug-Juli 2026-2027</t>
  </si>
  <si>
    <t>Kinderopvang</t>
  </si>
  <si>
    <t xml:space="preserve">Primair onderwijs </t>
  </si>
  <si>
    <t>Totaal uren</t>
  </si>
  <si>
    <t>Herziene meerjarenbegroting RIF Interprofessioneel Samen Opleiden 1 jan 2025 - 20 aug 2027</t>
  </si>
  <si>
    <t xml:space="preserve">Verdeling nog in te zetten uren per kwartaal </t>
  </si>
  <si>
    <t>Uurtarief = €73,00</t>
  </si>
  <si>
    <t>Totaal loonkosten                                     Aantal uren x uurtarief a €73,00 per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</si>
</sst>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;[Red]&quot;€&quot;\ \-#,##0"/>
    <numFmt numFmtId="165" formatCode="&quot;€&quot;\ #,##0.00;[Red]&quot;€&quot;\ \-#,##0.00"/>
    <numFmt numFmtId="166" formatCode="_ &quot;€&quot;\ * #,##0.00_ ;_ &quot;€&quot;\ * \-#,##0.00_ ;_ &quot;€&quot;\ * &quot;-&quot;??_ ;_ @_ "/>
    <numFmt numFmtId="167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Aptos Narrow"/>
      <family val="2"/>
      <scheme val="min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sz val="10"/>
      <name val="Calibri"/>
      <family val="2"/>
    </font>
    <font>
      <b/>
      <sz val="12"/>
      <name val="Aptos Display"/>
      <family val="2"/>
      <scheme val="major"/>
    </font>
    <font>
      <b/>
      <i/>
      <sz val="11"/>
      <name val="Aptos Display"/>
      <family val="2"/>
      <scheme val="major"/>
    </font>
    <font>
      <sz val="11"/>
      <color theme="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66" fontId="2" fillId="0" borderId="0" xfId="0" applyNumberFormat="1" applyFont="1"/>
    <xf numFmtId="0" fontId="3" fillId="0" borderId="0" xfId="0" applyFont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/>
    </xf>
    <xf numFmtId="0" fontId="8" fillId="0" borderId="0" xfId="0" applyFont="1"/>
    <xf numFmtId="166" fontId="8" fillId="0" borderId="0" xfId="1" applyNumberFormat="1" applyFont="1"/>
    <xf numFmtId="166" fontId="8" fillId="0" borderId="0" xfId="0" applyNumberFormat="1" applyFont="1"/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66" fontId="9" fillId="5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6" borderId="0" xfId="0" applyFont="1" applyFill="1" applyAlignment="1">
      <alignment horizontal="left"/>
    </xf>
    <xf numFmtId="166" fontId="4" fillId="0" borderId="0" xfId="0" applyNumberFormat="1" applyFont="1" applyAlignment="1">
      <alignment horizontal="left"/>
    </xf>
    <xf numFmtId="0" fontId="3" fillId="6" borderId="0" xfId="0" applyFont="1" applyFill="1"/>
    <xf numFmtId="0" fontId="17" fillId="3" borderId="0" xfId="0" applyFont="1" applyFill="1"/>
    <xf numFmtId="166" fontId="8" fillId="0" borderId="0" xfId="1" applyNumberFormat="1" applyFont="1" applyBorder="1"/>
    <xf numFmtId="0" fontId="9" fillId="0" borderId="0" xfId="0" applyFont="1"/>
    <xf numFmtId="166" fontId="8" fillId="0" borderId="0" xfId="1" applyNumberFormat="1" applyFont="1" applyFill="1" applyBorder="1"/>
    <xf numFmtId="0" fontId="9" fillId="0" borderId="5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166" fontId="9" fillId="4" borderId="0" xfId="1" applyNumberFormat="1" applyFont="1" applyFill="1" applyBorder="1" applyAlignment="1">
      <alignment horizontal="center"/>
    </xf>
    <xf numFmtId="166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5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166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5" xfId="0" applyFont="1" applyFill="1" applyBorder="1" applyAlignment="1">
      <alignment horizontal="left"/>
    </xf>
    <xf numFmtId="166" fontId="9" fillId="0" borderId="0" xfId="1" applyNumberFormat="1" applyFont="1" applyBorder="1" applyAlignment="1">
      <alignment horizontal="center"/>
    </xf>
    <xf numFmtId="166" fontId="9" fillId="2" borderId="0" xfId="1" applyNumberFormat="1" applyFont="1" applyFill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2" fillId="6" borderId="0" xfId="0" applyFont="1" applyFill="1" applyAlignment="1">
      <alignment vertical="top"/>
    </xf>
    <xf numFmtId="0" fontId="3" fillId="6" borderId="0" xfId="0" applyFont="1" applyFill="1" applyAlignment="1">
      <alignment horizontal="center"/>
    </xf>
    <xf numFmtId="0" fontId="17" fillId="6" borderId="0" xfId="0" applyFont="1" applyFill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166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66" fontId="14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horizontal="left"/>
    </xf>
    <xf numFmtId="166" fontId="16" fillId="3" borderId="1" xfId="0" applyNumberFormat="1" applyFont="1" applyFill="1" applyBorder="1" applyAlignment="1">
      <alignment vertical="top" wrapText="1"/>
    </xf>
    <xf numFmtId="166" fontId="16" fillId="3" borderId="0" xfId="0" applyNumberFormat="1" applyFont="1" applyFill="1" applyAlignment="1">
      <alignment horizontal="left" vertical="top" wrapText="1"/>
    </xf>
    <xf numFmtId="166" fontId="16" fillId="3" borderId="0" xfId="0" applyNumberFormat="1" applyFont="1" applyFill="1" applyAlignment="1">
      <alignment vertical="top" wrapText="1"/>
    </xf>
    <xf numFmtId="166" fontId="16" fillId="3" borderId="0" xfId="0" applyNumberFormat="1" applyFont="1" applyFill="1" applyAlignment="1">
      <alignment vertical="top"/>
    </xf>
    <xf numFmtId="0" fontId="15" fillId="3" borderId="0" xfId="0" applyFont="1" applyFill="1" applyAlignment="1">
      <alignment vertical="top"/>
    </xf>
    <xf numFmtId="166" fontId="16" fillId="3" borderId="5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quotePrefix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6" fontId="13" fillId="0" borderId="1" xfId="0" applyNumberFormat="1" applyFont="1" applyBorder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0" fontId="16" fillId="3" borderId="6" xfId="0" applyFont="1" applyFill="1" applyBorder="1" applyAlignment="1">
      <alignment horizontal="left" wrapText="1"/>
    </xf>
    <xf numFmtId="164" fontId="16" fillId="3" borderId="6" xfId="0" applyNumberFormat="1" applyFont="1" applyFill="1" applyBorder="1" applyAlignment="1">
      <alignment horizontal="left"/>
    </xf>
    <xf numFmtId="166" fontId="16" fillId="3" borderId="6" xfId="1" applyNumberFormat="1" applyFont="1" applyFill="1" applyBorder="1"/>
    <xf numFmtId="166" fontId="16" fillId="3" borderId="6" xfId="0" applyNumberFormat="1" applyFont="1" applyFill="1" applyBorder="1"/>
    <xf numFmtId="0" fontId="16" fillId="3" borderId="6" xfId="0" applyFont="1" applyFill="1" applyBorder="1"/>
    <xf numFmtId="165" fontId="16" fillId="3" borderId="6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3" fillId="0" borderId="1" xfId="0" applyFont="1" applyBorder="1"/>
    <xf numFmtId="0" fontId="0" fillId="0" borderId="0" xfId="0"/>
    <xf numFmtId="0" fontId="0" fillId="0" borderId="5" xfId="0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FBA4-7693-4B08-A01F-2DDEA30642F4}">
  <dimension ref="A1:BM34"/>
  <sheetViews>
    <sheetView tabSelected="1" topLeftCell="A5" zoomScale="80" zoomScaleNormal="80" workbookViewId="0">
      <selection activeCell="N34" sqref="N34"/>
    </sheetView>
  </sheetViews>
  <sheetFormatPr baseColWidth="10" defaultColWidth="9.1640625" defaultRowHeight="15" x14ac:dyDescent="0.2"/>
  <cols>
    <col min="1" max="1" width="36.6640625" style="8" customWidth="1"/>
    <col min="2" max="2" width="13.5" style="8" customWidth="1"/>
    <col min="3" max="3" width="9.5" style="8" customWidth="1"/>
    <col min="4" max="4" width="13.5" style="1" hidden="1" customWidth="1"/>
    <col min="5" max="5" width="12.6640625" style="2" hidden="1" customWidth="1"/>
    <col min="6" max="7" width="12.5" style="2" hidden="1" customWidth="1"/>
    <col min="8" max="8" width="16.5" style="2" hidden="1" customWidth="1"/>
    <col min="9" max="9" width="10.33203125" style="8" bestFit="1" customWidth="1"/>
    <col min="10" max="10" width="12.1640625" style="1" hidden="1" customWidth="1"/>
    <col min="11" max="11" width="14.5" style="1" hidden="1" customWidth="1"/>
    <col min="12" max="12" width="15.5" style="2" hidden="1" customWidth="1"/>
    <col min="13" max="13" width="11.5" style="2" hidden="1" customWidth="1"/>
    <col min="14" max="14" width="16.1640625" style="10" customWidth="1"/>
    <col min="15" max="15" width="15.33203125" style="9" customWidth="1"/>
    <col min="16" max="16" width="24.5" style="8" customWidth="1"/>
    <col min="17" max="17" width="18.83203125" style="8" customWidth="1"/>
    <col min="18" max="18" width="17.1640625" style="8" customWidth="1"/>
    <col min="19" max="19" width="18" style="8" customWidth="1"/>
    <col min="20" max="20" width="19.33203125" style="8" customWidth="1"/>
    <col min="21" max="21" width="10.5" style="25" customWidth="1"/>
    <col min="22" max="65" width="9.1640625" style="25"/>
    <col min="66" max="16384" width="9.1640625" style="3"/>
  </cols>
  <sheetData>
    <row r="1" spans="1:65" ht="18" x14ac:dyDescent="0.25">
      <c r="A1" s="73" t="s">
        <v>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</row>
    <row r="2" spans="1:65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8"/>
    </row>
    <row r="3" spans="1:65" s="18" customFormat="1" ht="58.75" customHeight="1" x14ac:dyDescent="0.2">
      <c r="A3" s="55" t="s">
        <v>45</v>
      </c>
      <c r="B3" s="56" t="s">
        <v>0</v>
      </c>
      <c r="C3" s="56" t="s">
        <v>34</v>
      </c>
      <c r="D3" s="57" t="s">
        <v>1</v>
      </c>
      <c r="E3" s="58" t="s">
        <v>2</v>
      </c>
      <c r="F3" s="58" t="s">
        <v>3</v>
      </c>
      <c r="G3" s="57" t="s">
        <v>4</v>
      </c>
      <c r="H3" s="59" t="s">
        <v>5</v>
      </c>
      <c r="I3" s="56" t="s">
        <v>35</v>
      </c>
      <c r="J3" s="57" t="s">
        <v>6</v>
      </c>
      <c r="K3" s="58" t="s">
        <v>7</v>
      </c>
      <c r="L3" s="58" t="s">
        <v>8</v>
      </c>
      <c r="M3" s="57" t="s">
        <v>9</v>
      </c>
      <c r="N3" s="56" t="s">
        <v>10</v>
      </c>
      <c r="O3" s="56" t="s">
        <v>36</v>
      </c>
      <c r="P3" s="56" t="s">
        <v>33</v>
      </c>
      <c r="Q3" s="56" t="s">
        <v>44</v>
      </c>
      <c r="R3" s="56" t="s">
        <v>37</v>
      </c>
      <c r="S3" s="56" t="s">
        <v>38</v>
      </c>
      <c r="T3" s="60" t="s">
        <v>39</v>
      </c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</row>
    <row r="4" spans="1:65" ht="24.5" customHeight="1" x14ac:dyDescent="0.2">
      <c r="A4" s="65" t="s">
        <v>40</v>
      </c>
      <c r="B4" s="53"/>
      <c r="C4" s="21"/>
      <c r="D4" s="27"/>
      <c r="E4" s="27"/>
      <c r="F4" s="27"/>
      <c r="G4" s="13"/>
      <c r="H4" s="28"/>
      <c r="I4" s="21"/>
      <c r="J4" s="11"/>
      <c r="K4" s="29"/>
      <c r="L4" s="29"/>
      <c r="M4" s="13"/>
      <c r="N4" s="21"/>
      <c r="O4" s="22"/>
      <c r="P4" s="22"/>
      <c r="Q4" s="22"/>
      <c r="R4" s="22"/>
      <c r="S4" s="22"/>
      <c r="T4" s="30"/>
    </row>
    <row r="5" spans="1:65" s="14" customFormat="1" x14ac:dyDescent="0.2">
      <c r="A5" s="61" t="s">
        <v>11</v>
      </c>
      <c r="B5" s="31">
        <v>0</v>
      </c>
      <c r="C5" s="31">
        <f>SUM(B5:B5)</f>
        <v>0</v>
      </c>
      <c r="D5" s="32">
        <f t="shared" ref="D5:D27" si="0">C5*73</f>
        <v>0</v>
      </c>
      <c r="E5" s="32">
        <f>(C5*0.574037)*73</f>
        <v>0</v>
      </c>
      <c r="F5" s="32">
        <f>(C5*0.425963489)*69</f>
        <v>0</v>
      </c>
      <c r="G5" s="33">
        <f t="shared" ref="G5:G27" si="1">D5-E5-F5</f>
        <v>0</v>
      </c>
      <c r="H5" s="34"/>
      <c r="I5" s="31">
        <v>48</v>
      </c>
      <c r="J5" s="33">
        <f t="shared" ref="J5:J13" si="2">SUM(I5*73)</f>
        <v>3504</v>
      </c>
      <c r="K5" s="32">
        <f>(I5*0.574037)*73</f>
        <v>2011.4256479999999</v>
      </c>
      <c r="L5" s="32">
        <f>(I5*0.425963489)*69</f>
        <v>1410.791075568</v>
      </c>
      <c r="M5" s="33">
        <f t="shared" ref="M5:M27" si="3">J5-K5-L5</f>
        <v>81.783276432000093</v>
      </c>
      <c r="N5" s="31">
        <v>493</v>
      </c>
      <c r="O5" s="31">
        <f>2*24</f>
        <v>48</v>
      </c>
      <c r="P5" s="31">
        <f>N5-O5</f>
        <v>445</v>
      </c>
      <c r="Q5" s="31">
        <f>P5/10</f>
        <v>44.5</v>
      </c>
      <c r="R5" s="31">
        <f>Q5*2</f>
        <v>89</v>
      </c>
      <c r="S5" s="31">
        <f>Q5*4</f>
        <v>178</v>
      </c>
      <c r="T5" s="35">
        <f>Q5*4</f>
        <v>178</v>
      </c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</row>
    <row r="6" spans="1:65" s="15" customFormat="1" x14ac:dyDescent="0.2">
      <c r="A6" s="62" t="s">
        <v>12</v>
      </c>
      <c r="B6" s="36">
        <v>0</v>
      </c>
      <c r="C6" s="36">
        <f t="shared" ref="C6:C27" si="4">SUM(B6:B6)</f>
        <v>0</v>
      </c>
      <c r="D6" s="16">
        <f t="shared" si="0"/>
        <v>0</v>
      </c>
      <c r="E6" s="16">
        <f>(C6*0.573363)*73</f>
        <v>0</v>
      </c>
      <c r="F6" s="16">
        <f>(C6*0.426636569)*69</f>
        <v>0</v>
      </c>
      <c r="G6" s="37">
        <f t="shared" si="1"/>
        <v>0</v>
      </c>
      <c r="H6" s="38"/>
      <c r="I6" s="36">
        <f t="shared" ref="I6:I10" si="5">SUM(H6:H6)</f>
        <v>0</v>
      </c>
      <c r="J6" s="37">
        <f t="shared" si="2"/>
        <v>0</v>
      </c>
      <c r="K6" s="16">
        <f>(I6*0.573363)*73</f>
        <v>0</v>
      </c>
      <c r="L6" s="16">
        <f>(I6*0.426636569)*69</f>
        <v>0</v>
      </c>
      <c r="M6" s="37">
        <f t="shared" si="3"/>
        <v>0</v>
      </c>
      <c r="N6" s="36">
        <v>443</v>
      </c>
      <c r="O6" s="36">
        <f>C6+I6</f>
        <v>0</v>
      </c>
      <c r="P6" s="36">
        <f t="shared" ref="P6:P27" si="6">N6-O6</f>
        <v>443</v>
      </c>
      <c r="Q6" s="36">
        <f t="shared" ref="Q6:Q27" si="7">P6/10</f>
        <v>44.3</v>
      </c>
      <c r="R6" s="36">
        <f t="shared" ref="R6:R28" si="8">Q6*2</f>
        <v>88.6</v>
      </c>
      <c r="S6" s="36">
        <f t="shared" ref="S6:S28" si="9">Q6*4</f>
        <v>177.2</v>
      </c>
      <c r="T6" s="39">
        <f t="shared" ref="T6:T28" si="10">Q6*4</f>
        <v>177.2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</row>
    <row r="7" spans="1:65" s="14" customFormat="1" x14ac:dyDescent="0.2">
      <c r="A7" s="61" t="s">
        <v>13</v>
      </c>
      <c r="B7" s="31">
        <v>8</v>
      </c>
      <c r="C7" s="31">
        <f t="shared" si="4"/>
        <v>8</v>
      </c>
      <c r="D7" s="32">
        <f>C7*73</f>
        <v>584</v>
      </c>
      <c r="E7" s="32">
        <f>(C7*0.572438)*73</f>
        <v>334.30379199999999</v>
      </c>
      <c r="F7" s="32">
        <f>(C7*0.427561837)*69</f>
        <v>236.01413402399999</v>
      </c>
      <c r="G7" s="33">
        <f>D7-E7-F7</f>
        <v>13.682073976000027</v>
      </c>
      <c r="H7" s="34"/>
      <c r="I7" s="31">
        <f t="shared" si="5"/>
        <v>0</v>
      </c>
      <c r="J7" s="33">
        <f t="shared" si="2"/>
        <v>0</v>
      </c>
      <c r="K7" s="32">
        <f>(I7*0.572438)*73</f>
        <v>0</v>
      </c>
      <c r="L7" s="32">
        <f>(I7*0.427561837)*69</f>
        <v>0</v>
      </c>
      <c r="M7" s="33">
        <f>J7-K7-L7</f>
        <v>0</v>
      </c>
      <c r="N7" s="31">
        <v>283</v>
      </c>
      <c r="O7" s="31">
        <f>C7+I7</f>
        <v>8</v>
      </c>
      <c r="P7" s="31">
        <f t="shared" si="6"/>
        <v>275</v>
      </c>
      <c r="Q7" s="31">
        <f t="shared" si="7"/>
        <v>27.5</v>
      </c>
      <c r="R7" s="31">
        <f t="shared" si="8"/>
        <v>55</v>
      </c>
      <c r="S7" s="31">
        <f t="shared" si="9"/>
        <v>110</v>
      </c>
      <c r="T7" s="35">
        <f t="shared" si="10"/>
        <v>110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</row>
    <row r="8" spans="1:65" s="15" customFormat="1" x14ac:dyDescent="0.2">
      <c r="A8" s="62" t="s">
        <v>14</v>
      </c>
      <c r="B8" s="36">
        <v>12</v>
      </c>
      <c r="C8" s="36">
        <f t="shared" si="4"/>
        <v>12</v>
      </c>
      <c r="D8" s="16">
        <f t="shared" si="0"/>
        <v>876</v>
      </c>
      <c r="E8" s="16">
        <f>(C8*0.572581)*73</f>
        <v>501.58095600000001</v>
      </c>
      <c r="F8" s="16">
        <f>(C8*0.427419355)*69</f>
        <v>353.90322593999997</v>
      </c>
      <c r="G8" s="37">
        <f t="shared" si="1"/>
        <v>20.515818060000015</v>
      </c>
      <c r="H8" s="38">
        <v>7</v>
      </c>
      <c r="I8" s="36">
        <f t="shared" si="5"/>
        <v>7</v>
      </c>
      <c r="J8" s="37">
        <f t="shared" si="2"/>
        <v>511</v>
      </c>
      <c r="K8" s="16">
        <f>(I8*0.572581)*73</f>
        <v>292.58889100000005</v>
      </c>
      <c r="L8" s="16">
        <f>(I8*0.427419355)*69</f>
        <v>206.44354846499999</v>
      </c>
      <c r="M8" s="37">
        <f t="shared" si="3"/>
        <v>11.967560534999961</v>
      </c>
      <c r="N8" s="36">
        <v>124</v>
      </c>
      <c r="O8" s="36">
        <f>C8+I8</f>
        <v>19</v>
      </c>
      <c r="P8" s="36">
        <f t="shared" si="6"/>
        <v>105</v>
      </c>
      <c r="Q8" s="36">
        <f t="shared" si="7"/>
        <v>10.5</v>
      </c>
      <c r="R8" s="36">
        <f t="shared" si="8"/>
        <v>21</v>
      </c>
      <c r="S8" s="36">
        <f t="shared" si="9"/>
        <v>42</v>
      </c>
      <c r="T8" s="39">
        <f t="shared" si="10"/>
        <v>42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</row>
    <row r="9" spans="1:65" s="14" customFormat="1" x14ac:dyDescent="0.2">
      <c r="A9" s="61" t="s">
        <v>15</v>
      </c>
      <c r="B9" s="31">
        <v>0</v>
      </c>
      <c r="C9" s="31">
        <f t="shared" si="4"/>
        <v>0</v>
      </c>
      <c r="D9" s="32">
        <f t="shared" si="0"/>
        <v>0</v>
      </c>
      <c r="E9" s="32">
        <f>(C9*0.574648)*73</f>
        <v>0</v>
      </c>
      <c r="F9" s="32">
        <f>(C9*0.425352113)*69</f>
        <v>0</v>
      </c>
      <c r="G9" s="33">
        <f t="shared" si="1"/>
        <v>0</v>
      </c>
      <c r="H9" s="34"/>
      <c r="I9" s="31">
        <f t="shared" si="5"/>
        <v>0</v>
      </c>
      <c r="J9" s="33">
        <f t="shared" si="2"/>
        <v>0</v>
      </c>
      <c r="K9" s="32">
        <f>(I9*0.574648)*73</f>
        <v>0</v>
      </c>
      <c r="L9" s="32">
        <f>(I9*0.425352113)*69</f>
        <v>0</v>
      </c>
      <c r="M9" s="33">
        <f t="shared" si="3"/>
        <v>0</v>
      </c>
      <c r="N9" s="31">
        <v>355</v>
      </c>
      <c r="O9" s="31">
        <f>C9+I9</f>
        <v>0</v>
      </c>
      <c r="P9" s="31">
        <f t="shared" si="6"/>
        <v>355</v>
      </c>
      <c r="Q9" s="31">
        <f t="shared" si="7"/>
        <v>35.5</v>
      </c>
      <c r="R9" s="31">
        <f t="shared" si="8"/>
        <v>71</v>
      </c>
      <c r="S9" s="31">
        <f t="shared" si="9"/>
        <v>142</v>
      </c>
      <c r="T9" s="35">
        <f t="shared" si="10"/>
        <v>142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</row>
    <row r="10" spans="1:65" s="15" customFormat="1" ht="15" customHeight="1" x14ac:dyDescent="0.2">
      <c r="A10" s="62" t="s">
        <v>16</v>
      </c>
      <c r="B10" s="36">
        <v>12</v>
      </c>
      <c r="C10" s="36">
        <f t="shared" si="4"/>
        <v>12</v>
      </c>
      <c r="D10" s="16">
        <f t="shared" si="0"/>
        <v>876</v>
      </c>
      <c r="E10" s="16">
        <f>(C10*0.576)*73</f>
        <v>504.57599999999991</v>
      </c>
      <c r="F10" s="16">
        <f>(C10*0.424)*69</f>
        <v>351.072</v>
      </c>
      <c r="G10" s="37">
        <f t="shared" si="1"/>
        <v>20.352000000000089</v>
      </c>
      <c r="H10" s="38"/>
      <c r="I10" s="36">
        <f t="shared" si="5"/>
        <v>0</v>
      </c>
      <c r="J10" s="37">
        <f t="shared" si="2"/>
        <v>0</v>
      </c>
      <c r="K10" s="16">
        <f>(I10*0.576)*73</f>
        <v>0</v>
      </c>
      <c r="L10" s="16">
        <f>(I10*0.424)*69</f>
        <v>0</v>
      </c>
      <c r="M10" s="37">
        <f t="shared" si="3"/>
        <v>0</v>
      </c>
      <c r="N10" s="36">
        <v>250</v>
      </c>
      <c r="O10" s="36">
        <f>C10+I10</f>
        <v>12</v>
      </c>
      <c r="P10" s="36">
        <f t="shared" si="6"/>
        <v>238</v>
      </c>
      <c r="Q10" s="36">
        <f t="shared" si="7"/>
        <v>23.8</v>
      </c>
      <c r="R10" s="36">
        <f t="shared" si="8"/>
        <v>47.6</v>
      </c>
      <c r="S10" s="36">
        <f t="shared" si="9"/>
        <v>95.2</v>
      </c>
      <c r="T10" s="39">
        <f t="shared" si="10"/>
        <v>95.2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</row>
    <row r="11" spans="1:65" s="7" customFormat="1" ht="27" customHeight="1" x14ac:dyDescent="0.2">
      <c r="A11" s="64" t="s">
        <v>41</v>
      </c>
      <c r="B11" s="22"/>
      <c r="C11" s="22"/>
      <c r="D11" s="40"/>
      <c r="E11" s="40"/>
      <c r="F11" s="41"/>
      <c r="G11" s="42"/>
      <c r="H11" s="43"/>
      <c r="I11" s="22"/>
      <c r="J11" s="42"/>
      <c r="K11" s="44"/>
      <c r="L11" s="44"/>
      <c r="M11" s="42"/>
      <c r="N11" s="23"/>
      <c r="O11" s="22"/>
      <c r="P11" s="22"/>
      <c r="Q11" s="22"/>
      <c r="R11" s="22"/>
      <c r="S11" s="22"/>
      <c r="T11" s="30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</row>
    <row r="12" spans="1:65" s="14" customFormat="1" x14ac:dyDescent="0.2">
      <c r="A12" s="61" t="s">
        <v>17</v>
      </c>
      <c r="B12" s="31">
        <f>43+41</f>
        <v>84</v>
      </c>
      <c r="C12" s="31">
        <f t="shared" si="4"/>
        <v>84</v>
      </c>
      <c r="D12" s="32">
        <f t="shared" si="0"/>
        <v>6132</v>
      </c>
      <c r="E12" s="32">
        <f>(C12*0.5808675)*73</f>
        <v>3561.8795100000002</v>
      </c>
      <c r="F12" s="32">
        <f>(C12*0.41913255)*69</f>
        <v>2429.2922598</v>
      </c>
      <c r="G12" s="33">
        <f t="shared" si="1"/>
        <v>140.82823019999978</v>
      </c>
      <c r="H12" s="34">
        <f>55</f>
        <v>55</v>
      </c>
      <c r="I12" s="31">
        <f t="shared" ref="I12:I27" si="11">SUM(H12:H12)</f>
        <v>55</v>
      </c>
      <c r="J12" s="33">
        <f t="shared" si="2"/>
        <v>4015</v>
      </c>
      <c r="K12" s="32">
        <f>(I12*0.5808675)*73</f>
        <v>2332.1830124999997</v>
      </c>
      <c r="L12" s="32">
        <f>(I12*0.41913255)*69</f>
        <v>1590.6080272499999</v>
      </c>
      <c r="M12" s="33">
        <f t="shared" si="3"/>
        <v>92.208960250000473</v>
      </c>
      <c r="N12" s="31">
        <v>2467</v>
      </c>
      <c r="O12" s="31">
        <f t="shared" ref="O12:O27" si="12">C12+I12</f>
        <v>139</v>
      </c>
      <c r="P12" s="31">
        <f t="shared" si="6"/>
        <v>2328</v>
      </c>
      <c r="Q12" s="31">
        <f t="shared" si="7"/>
        <v>232.8</v>
      </c>
      <c r="R12" s="31">
        <f t="shared" si="8"/>
        <v>465.6</v>
      </c>
      <c r="S12" s="31">
        <f t="shared" si="9"/>
        <v>931.2</v>
      </c>
      <c r="T12" s="35">
        <f t="shared" si="10"/>
        <v>931.2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</row>
    <row r="13" spans="1:65" s="15" customFormat="1" ht="15" customHeight="1" x14ac:dyDescent="0.2">
      <c r="A13" s="63" t="s">
        <v>18</v>
      </c>
      <c r="B13" s="36">
        <f>17</f>
        <v>17</v>
      </c>
      <c r="C13" s="36"/>
      <c r="D13" s="16">
        <f t="shared" si="0"/>
        <v>0</v>
      </c>
      <c r="E13" s="16">
        <f>(C13*0.582524)*73</f>
        <v>0</v>
      </c>
      <c r="F13" s="16">
        <f>(C13*0.417475728)*69</f>
        <v>0</v>
      </c>
      <c r="G13" s="37">
        <f t="shared" si="1"/>
        <v>0</v>
      </c>
      <c r="H13" s="38"/>
      <c r="I13" s="36">
        <f t="shared" si="11"/>
        <v>0</v>
      </c>
      <c r="J13" s="37">
        <f t="shared" si="2"/>
        <v>0</v>
      </c>
      <c r="K13" s="16">
        <f>(I13*0.582524)*73</f>
        <v>0</v>
      </c>
      <c r="L13" s="16">
        <f>(I13*0.417475728)*69</f>
        <v>0</v>
      </c>
      <c r="M13" s="37">
        <f t="shared" si="3"/>
        <v>0</v>
      </c>
      <c r="N13" s="36">
        <v>206</v>
      </c>
      <c r="O13" s="36">
        <f t="shared" si="12"/>
        <v>0</v>
      </c>
      <c r="P13" s="36">
        <f t="shared" si="6"/>
        <v>206</v>
      </c>
      <c r="Q13" s="36">
        <f t="shared" si="7"/>
        <v>20.6</v>
      </c>
      <c r="R13" s="36">
        <f t="shared" si="8"/>
        <v>41.2</v>
      </c>
      <c r="S13" s="36">
        <f t="shared" si="9"/>
        <v>82.4</v>
      </c>
      <c r="T13" s="39">
        <f t="shared" si="10"/>
        <v>82.4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</row>
    <row r="14" spans="1:65" s="14" customFormat="1" x14ac:dyDescent="0.2">
      <c r="A14" s="61" t="s">
        <v>19</v>
      </c>
      <c r="B14" s="31">
        <v>0</v>
      </c>
      <c r="C14" s="31">
        <f t="shared" si="4"/>
        <v>0</v>
      </c>
      <c r="D14" s="32">
        <f t="shared" si="0"/>
        <v>0</v>
      </c>
      <c r="E14" s="32">
        <f>(C14*0.582524)*73</f>
        <v>0</v>
      </c>
      <c r="F14" s="32">
        <f>(C14*0.417475728)*69</f>
        <v>0</v>
      </c>
      <c r="G14" s="33">
        <f t="shared" si="1"/>
        <v>0</v>
      </c>
      <c r="H14" s="34"/>
      <c r="I14" s="31">
        <f t="shared" si="11"/>
        <v>0</v>
      </c>
      <c r="J14" s="33">
        <f t="shared" ref="J14:J27" si="13">SUM(I14*73)</f>
        <v>0</v>
      </c>
      <c r="K14" s="32">
        <f>(I14*0.582524)*73</f>
        <v>0</v>
      </c>
      <c r="L14" s="32">
        <f>(I14*0.417475728)*69</f>
        <v>0</v>
      </c>
      <c r="M14" s="33">
        <f t="shared" si="3"/>
        <v>0</v>
      </c>
      <c r="N14" s="31">
        <v>206</v>
      </c>
      <c r="O14" s="31">
        <f t="shared" si="12"/>
        <v>0</v>
      </c>
      <c r="P14" s="31">
        <f t="shared" si="6"/>
        <v>206</v>
      </c>
      <c r="Q14" s="31">
        <f t="shared" si="7"/>
        <v>20.6</v>
      </c>
      <c r="R14" s="31">
        <f t="shared" si="8"/>
        <v>41.2</v>
      </c>
      <c r="S14" s="31">
        <f t="shared" si="9"/>
        <v>82.4</v>
      </c>
      <c r="T14" s="35">
        <f t="shared" si="10"/>
        <v>82.4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</row>
    <row r="15" spans="1:65" s="15" customFormat="1" x14ac:dyDescent="0.2">
      <c r="A15" s="62" t="s">
        <v>20</v>
      </c>
      <c r="B15" s="36">
        <v>8</v>
      </c>
      <c r="C15" s="36">
        <f t="shared" si="4"/>
        <v>8</v>
      </c>
      <c r="D15" s="16">
        <f t="shared" si="0"/>
        <v>584</v>
      </c>
      <c r="E15" s="16">
        <f>(C15*0.580739)*73</f>
        <v>339.15157599999998</v>
      </c>
      <c r="F15" s="16">
        <f>(C15*0.4192607)*69</f>
        <v>231.4319064</v>
      </c>
      <c r="G15" s="37">
        <f t="shared" si="1"/>
        <v>13.41651760000002</v>
      </c>
      <c r="H15" s="38">
        <v>0</v>
      </c>
      <c r="I15" s="36">
        <f t="shared" si="11"/>
        <v>0</v>
      </c>
      <c r="J15" s="37">
        <f t="shared" si="13"/>
        <v>0</v>
      </c>
      <c r="K15" s="16">
        <f>(I15*0.580739)*73</f>
        <v>0</v>
      </c>
      <c r="L15" s="16">
        <f>(I15*0.4192607)*69</f>
        <v>0</v>
      </c>
      <c r="M15" s="37">
        <f t="shared" si="3"/>
        <v>0</v>
      </c>
      <c r="N15" s="36">
        <v>1028</v>
      </c>
      <c r="O15" s="36">
        <f t="shared" si="12"/>
        <v>8</v>
      </c>
      <c r="P15" s="36">
        <f t="shared" si="6"/>
        <v>1020</v>
      </c>
      <c r="Q15" s="36">
        <f t="shared" si="7"/>
        <v>102</v>
      </c>
      <c r="R15" s="36">
        <f t="shared" si="8"/>
        <v>204</v>
      </c>
      <c r="S15" s="36">
        <f t="shared" si="9"/>
        <v>408</v>
      </c>
      <c r="T15" s="39">
        <f t="shared" si="10"/>
        <v>408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</row>
    <row r="16" spans="1:65" s="14" customFormat="1" x14ac:dyDescent="0.2">
      <c r="A16" s="61" t="s">
        <v>21</v>
      </c>
      <c r="B16" s="31">
        <f>33</f>
        <v>33</v>
      </c>
      <c r="C16" s="31">
        <f t="shared" si="4"/>
        <v>33</v>
      </c>
      <c r="D16" s="32">
        <f t="shared" si="0"/>
        <v>2409</v>
      </c>
      <c r="E16" s="32">
        <f>(C16*0.581037)*73</f>
        <v>1399.7181329999999</v>
      </c>
      <c r="F16" s="32">
        <f>(C16*0.4189627337)*69</f>
        <v>953.97814463489999</v>
      </c>
      <c r="G16" s="33">
        <f t="shared" si="1"/>
        <v>55.303722365100157</v>
      </c>
      <c r="H16" s="34">
        <v>28</v>
      </c>
      <c r="I16" s="31">
        <f t="shared" si="11"/>
        <v>28</v>
      </c>
      <c r="J16" s="33">
        <f t="shared" si="13"/>
        <v>2044</v>
      </c>
      <c r="K16" s="32">
        <f>(I16*0.581037)*73</f>
        <v>1187.6396279999999</v>
      </c>
      <c r="L16" s="32">
        <f>(I16*0.4189627337)*69</f>
        <v>809.43600150839995</v>
      </c>
      <c r="M16" s="33">
        <f t="shared" si="3"/>
        <v>46.924370491600143</v>
      </c>
      <c r="N16" s="31">
        <v>1234</v>
      </c>
      <c r="O16" s="31">
        <f t="shared" si="12"/>
        <v>61</v>
      </c>
      <c r="P16" s="31">
        <f t="shared" si="6"/>
        <v>1173</v>
      </c>
      <c r="Q16" s="31">
        <f t="shared" si="7"/>
        <v>117.3</v>
      </c>
      <c r="R16" s="31">
        <f t="shared" si="8"/>
        <v>234.6</v>
      </c>
      <c r="S16" s="31">
        <f t="shared" si="9"/>
        <v>469.2</v>
      </c>
      <c r="T16" s="35">
        <f t="shared" si="10"/>
        <v>469.2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</row>
    <row r="17" spans="1:65" s="15" customFormat="1" x14ac:dyDescent="0.2">
      <c r="A17" s="62" t="s">
        <v>22</v>
      </c>
      <c r="B17" s="54">
        <v>4</v>
      </c>
      <c r="C17" s="36">
        <f t="shared" si="4"/>
        <v>4</v>
      </c>
      <c r="D17" s="16">
        <f t="shared" si="0"/>
        <v>292</v>
      </c>
      <c r="E17" s="16">
        <f>(C17*0.580902)*73</f>
        <v>169.62338400000002</v>
      </c>
      <c r="F17" s="16">
        <f>(C17*0.419098143)*69</f>
        <v>115.671087468</v>
      </c>
      <c r="G17" s="37">
        <f t="shared" si="1"/>
        <v>6.7055285319999882</v>
      </c>
      <c r="H17" s="45">
        <v>24</v>
      </c>
      <c r="I17" s="36">
        <f t="shared" si="11"/>
        <v>24</v>
      </c>
      <c r="J17" s="37">
        <f t="shared" si="13"/>
        <v>1752</v>
      </c>
      <c r="K17" s="16">
        <f>(I17*0.580902)*73</f>
        <v>1017.740304</v>
      </c>
      <c r="L17" s="16">
        <f>(I17*0.419098143)*69</f>
        <v>694.02652480799998</v>
      </c>
      <c r="M17" s="37">
        <f t="shared" si="3"/>
        <v>40.233171191999986</v>
      </c>
      <c r="N17" s="36">
        <v>2262</v>
      </c>
      <c r="O17" s="36">
        <f t="shared" si="12"/>
        <v>28</v>
      </c>
      <c r="P17" s="36">
        <f t="shared" si="6"/>
        <v>2234</v>
      </c>
      <c r="Q17" s="36">
        <f t="shared" si="7"/>
        <v>223.4</v>
      </c>
      <c r="R17" s="36">
        <f t="shared" si="8"/>
        <v>446.8</v>
      </c>
      <c r="S17" s="36">
        <f t="shared" si="9"/>
        <v>893.6</v>
      </c>
      <c r="T17" s="39">
        <f t="shared" si="10"/>
        <v>893.6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</row>
    <row r="18" spans="1:65" s="14" customFormat="1" x14ac:dyDescent="0.2">
      <c r="A18" s="61" t="s">
        <v>23</v>
      </c>
      <c r="B18" s="31">
        <v>5</v>
      </c>
      <c r="C18" s="31">
        <f t="shared" si="4"/>
        <v>5</v>
      </c>
      <c r="D18" s="32">
        <f t="shared" si="0"/>
        <v>365</v>
      </c>
      <c r="E18" s="32">
        <f>(C18*0.580995)*73</f>
        <v>212.06317500000003</v>
      </c>
      <c r="F18" s="32">
        <f>(C18*0.419004863)*69</f>
        <v>144.55667773499999</v>
      </c>
      <c r="G18" s="33">
        <f t="shared" si="1"/>
        <v>8.3801472649999766</v>
      </c>
      <c r="H18" s="34">
        <v>72</v>
      </c>
      <c r="I18" s="31">
        <f t="shared" si="11"/>
        <v>72</v>
      </c>
      <c r="J18" s="33">
        <f t="shared" si="13"/>
        <v>5256</v>
      </c>
      <c r="K18" s="32">
        <f>(I18*0.580995)*73</f>
        <v>3053.7097199999998</v>
      </c>
      <c r="L18" s="32">
        <f>(I18*0.419004863)*69</f>
        <v>2081.6161593840002</v>
      </c>
      <c r="M18" s="33">
        <f t="shared" si="3"/>
        <v>120.67412061599998</v>
      </c>
      <c r="N18" s="31">
        <v>2673</v>
      </c>
      <c r="O18" s="31">
        <f t="shared" si="12"/>
        <v>77</v>
      </c>
      <c r="P18" s="31">
        <f t="shared" si="6"/>
        <v>2596</v>
      </c>
      <c r="Q18" s="31">
        <f t="shared" si="7"/>
        <v>259.60000000000002</v>
      </c>
      <c r="R18" s="31">
        <f t="shared" si="8"/>
        <v>519.20000000000005</v>
      </c>
      <c r="S18" s="31">
        <f t="shared" si="9"/>
        <v>1038.4000000000001</v>
      </c>
      <c r="T18" s="35">
        <f t="shared" si="10"/>
        <v>1038.4000000000001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</row>
    <row r="19" spans="1:65" s="15" customFormat="1" x14ac:dyDescent="0.2">
      <c r="A19" s="62" t="s">
        <v>24</v>
      </c>
      <c r="B19" s="36">
        <v>80</v>
      </c>
      <c r="C19" s="36">
        <f t="shared" si="4"/>
        <v>80</v>
      </c>
      <c r="D19" s="16">
        <f t="shared" si="0"/>
        <v>5840</v>
      </c>
      <c r="E19" s="16">
        <f>(C19*0.581064)*73</f>
        <v>3393.4137600000004</v>
      </c>
      <c r="F19" s="16">
        <f>(C19*0.418936446)*69</f>
        <v>2312.5291819200002</v>
      </c>
      <c r="G19" s="37">
        <f t="shared" si="1"/>
        <v>134.05705807999948</v>
      </c>
      <c r="H19" s="38">
        <f>64</f>
        <v>64</v>
      </c>
      <c r="I19" s="36">
        <f t="shared" si="11"/>
        <v>64</v>
      </c>
      <c r="J19" s="37">
        <f t="shared" si="13"/>
        <v>4672</v>
      </c>
      <c r="K19" s="16">
        <f>(I19*0.581064)*73</f>
        <v>2714.7310080000002</v>
      </c>
      <c r="L19" s="16">
        <f>(I19*0.418936446)*69</f>
        <v>1850.0233455360001</v>
      </c>
      <c r="M19" s="37">
        <f t="shared" si="3"/>
        <v>107.24564646399972</v>
      </c>
      <c r="N19" s="36">
        <v>3084</v>
      </c>
      <c r="O19" s="36">
        <f t="shared" si="12"/>
        <v>144</v>
      </c>
      <c r="P19" s="36">
        <f t="shared" si="6"/>
        <v>2940</v>
      </c>
      <c r="Q19" s="36">
        <f t="shared" si="7"/>
        <v>294</v>
      </c>
      <c r="R19" s="36">
        <f t="shared" si="8"/>
        <v>588</v>
      </c>
      <c r="S19" s="36">
        <f t="shared" si="9"/>
        <v>1176</v>
      </c>
      <c r="T19" s="39">
        <f t="shared" si="10"/>
        <v>1176</v>
      </c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</row>
    <row r="20" spans="1:65" s="14" customFormat="1" x14ac:dyDescent="0.2">
      <c r="A20" s="61" t="s">
        <v>25</v>
      </c>
      <c r="B20" s="31">
        <v>0</v>
      </c>
      <c r="C20" s="31">
        <f t="shared" si="4"/>
        <v>0</v>
      </c>
      <c r="D20" s="32">
        <f t="shared" si="0"/>
        <v>0</v>
      </c>
      <c r="E20" s="32">
        <f>(C20*0.582524)*73</f>
        <v>0</v>
      </c>
      <c r="F20" s="32">
        <f>(C20*0.417475728)*69</f>
        <v>0</v>
      </c>
      <c r="G20" s="33">
        <f t="shared" si="1"/>
        <v>0</v>
      </c>
      <c r="H20" s="34">
        <f>28</f>
        <v>28</v>
      </c>
      <c r="I20" s="31">
        <f t="shared" si="11"/>
        <v>28</v>
      </c>
      <c r="J20" s="33">
        <f t="shared" si="13"/>
        <v>2044</v>
      </c>
      <c r="K20" s="32">
        <f>(I20*0.582524)*73</f>
        <v>1190.6790559999999</v>
      </c>
      <c r="L20" s="32">
        <f>(I20*0.417475728)*69</f>
        <v>806.56310649600005</v>
      </c>
      <c r="M20" s="33">
        <f t="shared" si="3"/>
        <v>46.757837504000008</v>
      </c>
      <c r="N20" s="31">
        <v>206</v>
      </c>
      <c r="O20" s="31">
        <f t="shared" si="12"/>
        <v>28</v>
      </c>
      <c r="P20" s="31">
        <f t="shared" si="6"/>
        <v>178</v>
      </c>
      <c r="Q20" s="31">
        <f t="shared" si="7"/>
        <v>17.8</v>
      </c>
      <c r="R20" s="31">
        <f t="shared" si="8"/>
        <v>35.6</v>
      </c>
      <c r="S20" s="31">
        <f t="shared" si="9"/>
        <v>71.2</v>
      </c>
      <c r="T20" s="35">
        <f t="shared" si="10"/>
        <v>71.2</v>
      </c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</row>
    <row r="21" spans="1:65" s="15" customFormat="1" x14ac:dyDescent="0.2">
      <c r="A21" s="62" t="s">
        <v>26</v>
      </c>
      <c r="B21" s="36">
        <v>0</v>
      </c>
      <c r="C21" s="36">
        <f t="shared" si="4"/>
        <v>0</v>
      </c>
      <c r="D21" s="16">
        <f t="shared" si="0"/>
        <v>0</v>
      </c>
      <c r="E21" s="16">
        <f>(C21*0.581509)*7369</f>
        <v>0</v>
      </c>
      <c r="F21" s="16">
        <f>(C21*0.418491484)*69</f>
        <v>0</v>
      </c>
      <c r="G21" s="37">
        <f t="shared" si="1"/>
        <v>0</v>
      </c>
      <c r="H21" s="38"/>
      <c r="I21" s="36">
        <f t="shared" si="11"/>
        <v>0</v>
      </c>
      <c r="J21" s="37">
        <f t="shared" si="13"/>
        <v>0</v>
      </c>
      <c r="K21" s="16">
        <f>(I21*0.581509)*7369</f>
        <v>0</v>
      </c>
      <c r="L21" s="16">
        <f>(I21*0.418491484)*69</f>
        <v>0</v>
      </c>
      <c r="M21" s="37">
        <f t="shared" si="3"/>
        <v>0</v>
      </c>
      <c r="N21" s="36">
        <v>411</v>
      </c>
      <c r="O21" s="36">
        <f t="shared" si="12"/>
        <v>0</v>
      </c>
      <c r="P21" s="36">
        <f t="shared" si="6"/>
        <v>411</v>
      </c>
      <c r="Q21" s="36">
        <f t="shared" si="7"/>
        <v>41.1</v>
      </c>
      <c r="R21" s="36">
        <f t="shared" si="8"/>
        <v>82.2</v>
      </c>
      <c r="S21" s="36">
        <f t="shared" si="9"/>
        <v>164.4</v>
      </c>
      <c r="T21" s="39">
        <f t="shared" si="10"/>
        <v>164.4</v>
      </c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</row>
    <row r="22" spans="1:65" s="14" customFormat="1" x14ac:dyDescent="0.2">
      <c r="A22" s="61" t="s">
        <v>27</v>
      </c>
      <c r="B22" s="31">
        <v>38</v>
      </c>
      <c r="C22" s="31">
        <f t="shared" si="4"/>
        <v>38</v>
      </c>
      <c r="D22" s="32">
        <f t="shared" si="0"/>
        <v>2774</v>
      </c>
      <c r="E22" s="32">
        <f>(C22*0.580902)*73</f>
        <v>1611.4221480000001</v>
      </c>
      <c r="F22" s="32">
        <f>(C22*0.419098143)*69</f>
        <v>1098.8753309459998</v>
      </c>
      <c r="G22" s="33">
        <f t="shared" si="1"/>
        <v>63.702521054000044</v>
      </c>
      <c r="H22" s="34"/>
      <c r="I22" s="31">
        <f t="shared" si="11"/>
        <v>0</v>
      </c>
      <c r="J22" s="33">
        <f t="shared" si="13"/>
        <v>0</v>
      </c>
      <c r="K22" s="32">
        <f>(I22*0.580902)*73</f>
        <v>0</v>
      </c>
      <c r="L22" s="32">
        <f>(I22*0.419098143)*69</f>
        <v>0</v>
      </c>
      <c r="M22" s="33">
        <f t="shared" si="3"/>
        <v>0</v>
      </c>
      <c r="N22" s="31">
        <v>2262</v>
      </c>
      <c r="O22" s="31">
        <f t="shared" si="12"/>
        <v>38</v>
      </c>
      <c r="P22" s="31">
        <f t="shared" si="6"/>
        <v>2224</v>
      </c>
      <c r="Q22" s="31">
        <f t="shared" si="7"/>
        <v>222.4</v>
      </c>
      <c r="R22" s="31">
        <f t="shared" si="8"/>
        <v>444.8</v>
      </c>
      <c r="S22" s="31">
        <f t="shared" si="9"/>
        <v>889.6</v>
      </c>
      <c r="T22" s="35">
        <f t="shared" si="10"/>
        <v>889.6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</row>
    <row r="23" spans="1:65" s="15" customFormat="1" x14ac:dyDescent="0.2">
      <c r="A23" s="62" t="s">
        <v>28</v>
      </c>
      <c r="B23" s="36">
        <v>0</v>
      </c>
      <c r="C23" s="36">
        <f t="shared" si="4"/>
        <v>0</v>
      </c>
      <c r="D23" s="16">
        <f t="shared" si="0"/>
        <v>0</v>
      </c>
      <c r="E23" s="16">
        <f>(C23*0.582524)*73</f>
        <v>0</v>
      </c>
      <c r="F23" s="16">
        <f>(C23*0.417475728)*69</f>
        <v>0</v>
      </c>
      <c r="G23" s="37">
        <f t="shared" si="1"/>
        <v>0</v>
      </c>
      <c r="H23" s="38"/>
      <c r="I23" s="36">
        <f t="shared" si="11"/>
        <v>0</v>
      </c>
      <c r="J23" s="37">
        <f t="shared" si="13"/>
        <v>0</v>
      </c>
      <c r="K23" s="16">
        <f>(I23*0.582524)*73</f>
        <v>0</v>
      </c>
      <c r="L23" s="16">
        <f>(I23*0.417475728)*69</f>
        <v>0</v>
      </c>
      <c r="M23" s="37">
        <f t="shared" si="3"/>
        <v>0</v>
      </c>
      <c r="N23" s="36">
        <v>206</v>
      </c>
      <c r="O23" s="36">
        <f t="shared" si="12"/>
        <v>0</v>
      </c>
      <c r="P23" s="36">
        <f t="shared" si="6"/>
        <v>206</v>
      </c>
      <c r="Q23" s="36">
        <f t="shared" si="7"/>
        <v>20.6</v>
      </c>
      <c r="R23" s="36">
        <f t="shared" si="8"/>
        <v>41.2</v>
      </c>
      <c r="S23" s="36">
        <f t="shared" si="9"/>
        <v>82.4</v>
      </c>
      <c r="T23" s="39">
        <f t="shared" si="10"/>
        <v>82.4</v>
      </c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</row>
    <row r="24" spans="1:65" s="14" customFormat="1" x14ac:dyDescent="0.2">
      <c r="A24" s="61" t="s">
        <v>29</v>
      </c>
      <c r="B24" s="31">
        <v>83</v>
      </c>
      <c r="C24" s="31">
        <f t="shared" si="4"/>
        <v>83</v>
      </c>
      <c r="D24" s="32">
        <f t="shared" si="0"/>
        <v>6059</v>
      </c>
      <c r="E24" s="32">
        <f>(C24*0.581226)*73</f>
        <v>3521.6483340000004</v>
      </c>
      <c r="F24" s="32">
        <f>(C24*0.418774319)*69</f>
        <v>2398.3205249130001</v>
      </c>
      <c r="G24" s="33">
        <f t="shared" si="1"/>
        <v>139.03114108699947</v>
      </c>
      <c r="H24" s="34">
        <v>55</v>
      </c>
      <c r="I24" s="31">
        <f t="shared" si="11"/>
        <v>55</v>
      </c>
      <c r="J24" s="33">
        <f t="shared" si="13"/>
        <v>4015</v>
      </c>
      <c r="K24" s="32">
        <f>(I24*0.581226)*73</f>
        <v>2333.62239</v>
      </c>
      <c r="L24" s="32">
        <f>(I24*0.418774319)*69</f>
        <v>1589.2485406050002</v>
      </c>
      <c r="M24" s="33">
        <f t="shared" si="3"/>
        <v>92.12906939499976</v>
      </c>
      <c r="N24" s="31">
        <v>2056</v>
      </c>
      <c r="O24" s="31">
        <f t="shared" si="12"/>
        <v>138</v>
      </c>
      <c r="P24" s="31">
        <f t="shared" si="6"/>
        <v>1918</v>
      </c>
      <c r="Q24" s="31">
        <f t="shared" si="7"/>
        <v>191.8</v>
      </c>
      <c r="R24" s="31">
        <f t="shared" si="8"/>
        <v>383.6</v>
      </c>
      <c r="S24" s="31">
        <f t="shared" si="9"/>
        <v>767.2</v>
      </c>
      <c r="T24" s="35">
        <f t="shared" si="10"/>
        <v>767.2</v>
      </c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</row>
    <row r="25" spans="1:65" s="15" customFormat="1" x14ac:dyDescent="0.2">
      <c r="A25" s="62" t="s">
        <v>30</v>
      </c>
      <c r="B25" s="54">
        <f>32+23</f>
        <v>55</v>
      </c>
      <c r="C25" s="36">
        <f t="shared" si="4"/>
        <v>55</v>
      </c>
      <c r="D25" s="16">
        <f t="shared" si="0"/>
        <v>4015</v>
      </c>
      <c r="E25" s="16">
        <f>(C25*0.580959)*73</f>
        <v>2332.550385</v>
      </c>
      <c r="F25" s="16">
        <f>(C25*0.419041001)*69</f>
        <v>1590.2605987950001</v>
      </c>
      <c r="G25" s="37">
        <f t="shared" si="1"/>
        <v>92.189016204999916</v>
      </c>
      <c r="H25" s="38">
        <v>12</v>
      </c>
      <c r="I25" s="36">
        <f t="shared" si="11"/>
        <v>12</v>
      </c>
      <c r="J25" s="37">
        <f t="shared" si="13"/>
        <v>876</v>
      </c>
      <c r="K25" s="16">
        <f>(I25*0.580959)*73</f>
        <v>508.92008399999997</v>
      </c>
      <c r="L25" s="16">
        <f>(I25*0.419041001)*69</f>
        <v>346.96594882800002</v>
      </c>
      <c r="M25" s="37">
        <f t="shared" si="3"/>
        <v>20.113967172000002</v>
      </c>
      <c r="N25" s="36">
        <v>1439</v>
      </c>
      <c r="O25" s="36">
        <f t="shared" si="12"/>
        <v>67</v>
      </c>
      <c r="P25" s="36">
        <f t="shared" si="6"/>
        <v>1372</v>
      </c>
      <c r="Q25" s="36">
        <f t="shared" si="7"/>
        <v>137.19999999999999</v>
      </c>
      <c r="R25" s="36">
        <f t="shared" si="8"/>
        <v>274.39999999999998</v>
      </c>
      <c r="S25" s="36">
        <f t="shared" si="9"/>
        <v>548.79999999999995</v>
      </c>
      <c r="T25" s="39">
        <f t="shared" si="10"/>
        <v>548.79999999999995</v>
      </c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</row>
    <row r="26" spans="1:65" s="14" customFormat="1" x14ac:dyDescent="0.2">
      <c r="A26" s="61" t="s">
        <v>31</v>
      </c>
      <c r="B26" s="31">
        <v>0</v>
      </c>
      <c r="C26" s="31">
        <f t="shared" si="4"/>
        <v>0</v>
      </c>
      <c r="D26" s="32">
        <f t="shared" si="0"/>
        <v>0</v>
      </c>
      <c r="E26" s="32">
        <f>(C26*0.580227)*73</f>
        <v>0</v>
      </c>
      <c r="F26" s="32">
        <f>(C26*0.419773096)*69</f>
        <v>0</v>
      </c>
      <c r="G26" s="33">
        <f t="shared" si="1"/>
        <v>0</v>
      </c>
      <c r="H26" s="34"/>
      <c r="I26" s="31">
        <f t="shared" si="11"/>
        <v>0</v>
      </c>
      <c r="J26" s="33">
        <f t="shared" si="13"/>
        <v>0</v>
      </c>
      <c r="K26" s="32">
        <f>(I26*0.580227)*73</f>
        <v>0</v>
      </c>
      <c r="L26" s="32">
        <f>(I26*0.419773096)*69</f>
        <v>0</v>
      </c>
      <c r="M26" s="33">
        <f t="shared" si="3"/>
        <v>0</v>
      </c>
      <c r="N26" s="31">
        <v>617</v>
      </c>
      <c r="O26" s="31">
        <f t="shared" si="12"/>
        <v>0</v>
      </c>
      <c r="P26" s="31">
        <f t="shared" si="6"/>
        <v>617</v>
      </c>
      <c r="Q26" s="31">
        <f t="shared" si="7"/>
        <v>61.7</v>
      </c>
      <c r="R26" s="31">
        <f t="shared" si="8"/>
        <v>123.4</v>
      </c>
      <c r="S26" s="31">
        <f t="shared" si="9"/>
        <v>246.8</v>
      </c>
      <c r="T26" s="35">
        <f t="shared" si="10"/>
        <v>246.8</v>
      </c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</row>
    <row r="27" spans="1:65" s="15" customFormat="1" x14ac:dyDescent="0.2">
      <c r="A27" s="62" t="s">
        <v>32</v>
      </c>
      <c r="B27" s="36">
        <v>0</v>
      </c>
      <c r="C27" s="36">
        <f t="shared" si="4"/>
        <v>0</v>
      </c>
      <c r="D27" s="16">
        <f t="shared" si="0"/>
        <v>0</v>
      </c>
      <c r="E27" s="16">
        <f>(C27*0.582524)*73</f>
        <v>0</v>
      </c>
      <c r="F27" s="16">
        <f>(C27*0.417475728)*69</f>
        <v>0</v>
      </c>
      <c r="G27" s="37">
        <f t="shared" si="1"/>
        <v>0</v>
      </c>
      <c r="H27" s="38"/>
      <c r="I27" s="36">
        <f t="shared" si="11"/>
        <v>0</v>
      </c>
      <c r="J27" s="37">
        <f t="shared" si="13"/>
        <v>0</v>
      </c>
      <c r="K27" s="16">
        <f>(I27*0.582524)*73</f>
        <v>0</v>
      </c>
      <c r="L27" s="16">
        <f>(I27*0.417475728)*69</f>
        <v>0</v>
      </c>
      <c r="M27" s="37">
        <f t="shared" si="3"/>
        <v>0</v>
      </c>
      <c r="N27" s="36">
        <v>206</v>
      </c>
      <c r="O27" s="36">
        <f t="shared" si="12"/>
        <v>0</v>
      </c>
      <c r="P27" s="36">
        <f t="shared" si="6"/>
        <v>206</v>
      </c>
      <c r="Q27" s="36">
        <f t="shared" si="7"/>
        <v>20.6</v>
      </c>
      <c r="R27" s="36">
        <f t="shared" si="8"/>
        <v>41.2</v>
      </c>
      <c r="S27" s="36">
        <f t="shared" si="9"/>
        <v>82.4</v>
      </c>
      <c r="T27" s="39">
        <f t="shared" si="10"/>
        <v>82.4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</row>
    <row r="28" spans="1:65" s="22" customFormat="1" ht="21" customHeight="1" x14ac:dyDescent="0.2">
      <c r="A28" s="49" t="s">
        <v>42</v>
      </c>
      <c r="B28" s="50">
        <f>SUM(B5:B27)</f>
        <v>439</v>
      </c>
      <c r="C28" s="50">
        <v>422</v>
      </c>
      <c r="D28" s="51"/>
      <c r="E28" s="51"/>
      <c r="F28" s="51"/>
      <c r="G28" s="51"/>
      <c r="H28" s="50"/>
      <c r="I28" s="50">
        <v>345</v>
      </c>
      <c r="J28" s="50"/>
      <c r="K28" s="51"/>
      <c r="L28" s="51"/>
      <c r="M28" s="51"/>
      <c r="N28" s="50">
        <v>22511</v>
      </c>
      <c r="O28" s="50">
        <v>815</v>
      </c>
      <c r="P28" s="50">
        <v>21696</v>
      </c>
      <c r="Q28" s="50">
        <f>SUM(Q5:Q27)</f>
        <v>2169.5999999999995</v>
      </c>
      <c r="R28" s="50">
        <f t="shared" si="8"/>
        <v>4339.1999999999989</v>
      </c>
      <c r="S28" s="50">
        <f t="shared" si="9"/>
        <v>8678.3999999999978</v>
      </c>
      <c r="T28" s="52">
        <f t="shared" si="10"/>
        <v>8678.3999999999978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s="26" customFormat="1" ht="39.5" customHeight="1" x14ac:dyDescent="0.2">
      <c r="A29" s="67" t="s">
        <v>46</v>
      </c>
      <c r="B29" s="68">
        <v>32047</v>
      </c>
      <c r="C29" s="68">
        <v>30806</v>
      </c>
      <c r="D29" s="69"/>
      <c r="E29" s="69"/>
      <c r="F29" s="69"/>
      <c r="G29" s="70"/>
      <c r="H29" s="71"/>
      <c r="I29" s="68">
        <v>25815</v>
      </c>
      <c r="J29" s="70"/>
      <c r="K29" s="69"/>
      <c r="L29" s="69"/>
      <c r="M29" s="70"/>
      <c r="N29" s="68">
        <v>1643303</v>
      </c>
      <c r="O29" s="68">
        <v>59495</v>
      </c>
      <c r="P29" s="68">
        <v>1583808</v>
      </c>
      <c r="Q29" s="72">
        <v>158380.79999999999</v>
      </c>
      <c r="R29" s="72">
        <v>316761.59999999998</v>
      </c>
      <c r="S29" s="72">
        <v>633523.19999999995</v>
      </c>
      <c r="T29" s="72">
        <v>633523.19999999995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</row>
    <row r="30" spans="1:65" x14ac:dyDescent="0.2">
      <c r="B30" s="19"/>
      <c r="C30" s="21"/>
      <c r="D30" s="12"/>
      <c r="E30" s="12"/>
      <c r="F30" s="12"/>
      <c r="G30" s="13"/>
      <c r="H30" s="11"/>
      <c r="I30" s="21"/>
      <c r="J30" s="13"/>
      <c r="K30" s="12"/>
      <c r="L30" s="12"/>
      <c r="M30" s="13"/>
      <c r="N30" s="66"/>
      <c r="O30" s="22"/>
      <c r="P30" s="22"/>
      <c r="Q30" s="22"/>
      <c r="R30" s="22"/>
      <c r="S30" s="22"/>
      <c r="T30" s="22"/>
    </row>
    <row r="31" spans="1:65" x14ac:dyDescent="0.2">
      <c r="B31" s="20"/>
      <c r="C31" s="19"/>
      <c r="D31" s="5"/>
      <c r="E31" s="5"/>
      <c r="F31" s="5"/>
      <c r="G31" s="5"/>
      <c r="H31" s="6"/>
      <c r="I31" s="19"/>
      <c r="J31" s="4"/>
      <c r="K31" s="5"/>
      <c r="L31" s="5"/>
      <c r="M31" s="5"/>
      <c r="N31" s="19"/>
      <c r="O31" s="8"/>
    </row>
    <row r="32" spans="1:65" x14ac:dyDescent="0.2">
      <c r="A32" s="17"/>
      <c r="C32" s="20"/>
      <c r="D32" s="4"/>
      <c r="E32" s="5"/>
      <c r="F32" s="5"/>
      <c r="G32" s="5"/>
      <c r="H32" s="5"/>
      <c r="I32" s="20"/>
      <c r="J32" s="4"/>
      <c r="K32" s="4"/>
      <c r="L32" s="5"/>
      <c r="M32" s="5"/>
      <c r="O32" s="19"/>
    </row>
    <row r="33" spans="2:15" x14ac:dyDescent="0.2">
      <c r="B33" s="17"/>
      <c r="C33" s="20"/>
      <c r="D33" s="4"/>
      <c r="E33" s="5"/>
      <c r="F33" s="5"/>
      <c r="G33" s="5"/>
      <c r="I33" s="20"/>
      <c r="J33" s="4"/>
      <c r="K33" s="4"/>
      <c r="L33" s="5"/>
      <c r="M33" s="5"/>
      <c r="N33" s="24"/>
      <c r="O33" s="19"/>
    </row>
    <row r="34" spans="2:15" x14ac:dyDescent="0.2">
      <c r="J34" s="4"/>
      <c r="K34" s="4"/>
      <c r="L34" s="5"/>
      <c r="M34" s="5"/>
      <c r="N34" s="24"/>
      <c r="O34" s="19"/>
    </row>
  </sheetData>
  <mergeCells count="2">
    <mergeCell ref="A1:T1"/>
    <mergeCell ref="A2:T2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c92cc6-2b49-4752-87c0-fd1a2eb7ebe3">
      <Terms xmlns="http://schemas.microsoft.com/office/infopath/2007/PartnerControls"/>
    </lcf76f155ced4ddcb4097134ff3c332f>
    <TaxCatchAll xmlns="daa2612a-129f-4626-baff-031db5f92c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F3837420512F4A88D971B6E7D9E659" ma:contentTypeVersion="18" ma:contentTypeDescription="Een nieuw document maken." ma:contentTypeScope="" ma:versionID="e960d4b2003cd8e26ca3c823da1e1f4a">
  <xsd:schema xmlns:xsd="http://www.w3.org/2001/XMLSchema" xmlns:xs="http://www.w3.org/2001/XMLSchema" xmlns:p="http://schemas.microsoft.com/office/2006/metadata/properties" xmlns:ns2="62c92cc6-2b49-4752-87c0-fd1a2eb7ebe3" xmlns:ns3="daa2612a-129f-4626-baff-031db5f92c53" targetNamespace="http://schemas.microsoft.com/office/2006/metadata/properties" ma:root="true" ma:fieldsID="e598040b785ad6fbe77c8551004bd915" ns2:_="" ns3:_="">
    <xsd:import namespace="62c92cc6-2b49-4752-87c0-fd1a2eb7ebe3"/>
    <xsd:import namespace="daa2612a-129f-4626-baff-031db5f92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92cc6-2b49-4752-87c0-fd1a2eb7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a5092c2b-5de3-470e-8c85-045e6e798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2612a-129f-4626-baff-031db5f92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07002-1bb9-48df-a673-b4e51b1d7635}" ma:internalName="TaxCatchAll" ma:showField="CatchAllData" ma:web="daa2612a-129f-4626-baff-031db5f92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CD45FA-BE7A-4531-9641-F44FB7FCDEBC}">
  <ds:schemaRefs>
    <ds:schemaRef ds:uri="http://schemas.microsoft.com/office/2006/metadata/properties"/>
    <ds:schemaRef ds:uri="http://schemas.microsoft.com/office/infopath/2007/PartnerControls"/>
    <ds:schemaRef ds:uri="62c92cc6-2b49-4752-87c0-fd1a2eb7ebe3"/>
    <ds:schemaRef ds:uri="daa2612a-129f-4626-baff-031db5f92c53"/>
  </ds:schemaRefs>
</ds:datastoreItem>
</file>

<file path=customXml/itemProps2.xml><?xml version="1.0" encoding="utf-8"?>
<ds:datastoreItem xmlns:ds="http://schemas.openxmlformats.org/officeDocument/2006/customXml" ds:itemID="{27CB5738-15BD-45E4-B5A8-E9A33F813B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c92cc6-2b49-4752-87c0-fd1a2eb7ebe3"/>
    <ds:schemaRef ds:uri="daa2612a-129f-4626-baff-031db5f92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FE4BDD-0459-4E90-8724-B19A502C0B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Immink, Marüschka</dc:creator>
  <cp:keywords/>
  <dc:description/>
  <cp:lastModifiedBy>Carolien van Riswijk</cp:lastModifiedBy>
  <cp:revision/>
  <dcterms:created xsi:type="dcterms:W3CDTF">2025-04-14T11:58:59Z</dcterms:created>
  <dcterms:modified xsi:type="dcterms:W3CDTF">2025-05-08T13:23:33Z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0x010100F0F3837420512F4A88D971B6E7D9E659</vt:lpwstr>
  </property>
  <property fmtid="{D5CDD505-2E9C-101B-9397-08002B2CF9AE}" pid="3" name="MediaServiceImageTags">
    <vt:lpwstr/>
  </property>
  <property fmtid="{D5CDD505-2E9C-101B-9397-08002B2CF9AE}" pid="4" name="MSIP_Label_44d050f3-850d-4310-850a-31ea13e04063_Enabled">
    <vt:lpwstr>true</vt:lpwstr>
  </property>
  <property fmtid="{D5CDD505-2E9C-101B-9397-08002B2CF9AE}" pid="5" name="MSIP_Label_44d050f3-850d-4310-850a-31ea13e04063_SetDate">
    <vt:lpwstr>2025-04-18T09:32:17Z</vt:lpwstr>
  </property>
  <property fmtid="{D5CDD505-2E9C-101B-9397-08002B2CF9AE}" pid="6" name="MSIP_Label_44d050f3-850d-4310-850a-31ea13e04063_Method">
    <vt:lpwstr>Standard</vt:lpwstr>
  </property>
  <property fmtid="{D5CDD505-2E9C-101B-9397-08002B2CF9AE}" pid="7" name="MSIP_Label_44d050f3-850d-4310-850a-31ea13e04063_Name">
    <vt:lpwstr>defa4170-0d19-0005-0004-bc88714345d2</vt:lpwstr>
  </property>
  <property fmtid="{D5CDD505-2E9C-101B-9397-08002B2CF9AE}" pid="8" name="MSIP_Label_44d050f3-850d-4310-850a-31ea13e04063_SiteId">
    <vt:lpwstr>6200b37c-a03e-4996-ab02-6f5b017bb20f</vt:lpwstr>
  </property>
  <property fmtid="{D5CDD505-2E9C-101B-9397-08002B2CF9AE}" pid="9" name="MSIP_Label_44d050f3-850d-4310-850a-31ea13e04063_ActionId">
    <vt:lpwstr>07cf315f-a289-4d3c-9b3c-99aefc136f4b</vt:lpwstr>
  </property>
  <property fmtid="{D5CDD505-2E9C-101B-9397-08002B2CF9AE}" pid="10" name="MSIP_Label_44d050f3-850d-4310-850a-31ea13e04063_ContentBits">
    <vt:lpwstr>0</vt:lpwstr>
  </property>
  <property fmtid="{D5CDD505-2E9C-101B-9397-08002B2CF9AE}" pid="11" name="MSIP_Label_44d050f3-850d-4310-850a-31ea13e04063_Tag">
    <vt:lpwstr>50, 3, 0, 1</vt:lpwstr>
  </property>
</Properties>
</file>